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435" activeTab="0"/>
  </bookViews>
  <sheets>
    <sheet name="ABOVE GROUND" sheetId="1" r:id="rId1"/>
    <sheet name="BELOW GROUND" sheetId="2" r:id="rId2"/>
  </sheets>
  <definedNames>
    <definedName name="_Regression_Int" localSheetId="1" hidden="1">1</definedName>
    <definedName name="_xlnm.Print_Area" localSheetId="0">'ABOVE GROUND'!$A$1:$E$50</definedName>
    <definedName name="_xlnm.Print_Area" localSheetId="1">'BELOW GROUND'!$A$1:$E$51</definedName>
    <definedName name="Print_Area_MI" localSheetId="1">'BELOW GROUND'!$A$1:$E$67</definedName>
  </definedNames>
  <calcPr fullCalcOnLoad="1"/>
</workbook>
</file>

<file path=xl/sharedStrings.xml><?xml version="1.0" encoding="utf-8"?>
<sst xmlns="http://schemas.openxmlformats.org/spreadsheetml/2006/main" count="180" uniqueCount="86">
  <si>
    <t>KILOWATT</t>
  </si>
  <si>
    <t>W/m.K</t>
  </si>
  <si>
    <t>KJ/Kg.K</t>
  </si>
  <si>
    <t>PVC</t>
  </si>
  <si>
    <t>LDPE</t>
  </si>
  <si>
    <t>HDPE</t>
  </si>
  <si>
    <t>PP</t>
  </si>
  <si>
    <t>PB</t>
  </si>
  <si>
    <t>PVDF</t>
  </si>
  <si>
    <t>WATER</t>
  </si>
  <si>
    <t>(C)</t>
  </si>
  <si>
    <t>Kg/s</t>
  </si>
  <si>
    <t>J/Kg.K</t>
  </si>
  <si>
    <t>mm</t>
  </si>
  <si>
    <t>m/s</t>
  </si>
  <si>
    <t>m</t>
  </si>
  <si>
    <t>K/m</t>
  </si>
  <si>
    <t>W/m</t>
  </si>
  <si>
    <t>KW</t>
  </si>
  <si>
    <t>K</t>
  </si>
  <si>
    <t>TEMPERATURE DECREASE IN ABOVE GROUND INSTALLED PIPES</t>
  </si>
  <si>
    <t>INPUT DATA</t>
  </si>
  <si>
    <t>TEMPERATURE MEDIUM</t>
  </si>
  <si>
    <t>TEMPERATURE GROUND</t>
  </si>
  <si>
    <t>MASS FLOW MEDIUM</t>
  </si>
  <si>
    <t>SPECIFIC HEAT MEDIUM</t>
  </si>
  <si>
    <t>HEAT CONDUCTIVE COEFFICIENT PIPE WALL</t>
  </si>
  <si>
    <t>HEAT CONDUCTIVE COEFFICIENT INSULATION MATERIAL</t>
  </si>
  <si>
    <t>HEAT CONDUCTIVE COEFFICIENT CONTAINMENT PIPE</t>
  </si>
  <si>
    <t>HEAT CONDUCTIVE COEFFICIENT GROUND</t>
  </si>
  <si>
    <t>OUTSIDE DIAMETER PIPE</t>
  </si>
  <si>
    <t>SDR</t>
  </si>
  <si>
    <t>INSIDE DIAMETER CONTAINMENT PIPE</t>
  </si>
  <si>
    <t>OUTSIDE DIAMETER CONTAINMENT PIPE</t>
  </si>
  <si>
    <t>DEPTH OF SOIL COVER</t>
  </si>
  <si>
    <t>PIPE LENGTH</t>
  </si>
  <si>
    <t>RESULTS</t>
  </si>
  <si>
    <t>TEMPERATURE DECREASE</t>
  </si>
  <si>
    <t>SPECIFIC HEAT LOSS</t>
  </si>
  <si>
    <t>TOTAL HEAT LOSS OVER WHOLE PIPE LENGTH</t>
  </si>
  <si>
    <t>HEAT TRANSMISSION NUMBER</t>
  </si>
  <si>
    <t>INSIDE DIAMETER PIPE</t>
  </si>
  <si>
    <t>DENSITY MEDIUM</t>
  </si>
  <si>
    <t>FLOW SPEED MEDIUM</t>
  </si>
  <si>
    <t>REMARKS</t>
  </si>
  <si>
    <t>DEGREES</t>
  </si>
  <si>
    <t>WATT per METRE</t>
  </si>
  <si>
    <t>WATT per METRE per DEGREE</t>
  </si>
  <si>
    <t>AIR</t>
  </si>
  <si>
    <t>SOIL</t>
  </si>
  <si>
    <t>HEAT TECHNICAL DATA</t>
  </si>
  <si>
    <t>TEMPERATURE DECREASE OVER WHOLE PIPE LENGTH</t>
  </si>
  <si>
    <t>DEGREE per METRE</t>
  </si>
  <si>
    <t>AIR SPEED AROUND PIPE</t>
  </si>
  <si>
    <t>AMBIENT TEMPERATURE</t>
  </si>
  <si>
    <t>"= R1</t>
  </si>
  <si>
    <t>PUR Foam 80/100</t>
  </si>
  <si>
    <t>SDR OF CONTAINMENT PIPE</t>
  </si>
  <si>
    <t>STEEL</t>
  </si>
  <si>
    <t>PUR</t>
  </si>
  <si>
    <t>SPECIFIC HEAT WATER</t>
  </si>
  <si>
    <t>ONLY FILL IN THE BLUE CELLS.  JUST JUMP BY PRESSING "TAB" KEY</t>
  </si>
  <si>
    <r>
      <t xml:space="preserve">Kg/m </t>
    </r>
    <r>
      <rPr>
        <vertAlign val="superscript"/>
        <sz val="14"/>
        <rFont val="Switzerland"/>
        <family val="2"/>
      </rPr>
      <t>3</t>
    </r>
  </si>
  <si>
    <t>OTHER</t>
  </si>
  <si>
    <t>PIPE MATERIAL MEDIUM PIPE (see abbreviation below)</t>
  </si>
  <si>
    <t>INSULATION MATERIAL (see abbreviation below)</t>
  </si>
  <si>
    <t>CONTAINMENT PIPE MATERIAL (see abbreviation below)</t>
  </si>
  <si>
    <t>=R</t>
  </si>
  <si>
    <t>=alfa</t>
  </si>
  <si>
    <t>MASS OF MEDIUM PER METER PIPE LENGTH</t>
  </si>
  <si>
    <t>kg/m</t>
  </si>
  <si>
    <t>=B</t>
  </si>
  <si>
    <t>STAGNATING WATER</t>
  </si>
  <si>
    <t>TIME TILL FREEZING STARTS</t>
  </si>
  <si>
    <t>hrs</t>
  </si>
  <si>
    <t>STAGNATION TIME</t>
  </si>
  <si>
    <t>PERCENTAGE FROZEN WATER AFTER STAGNATION TIME</t>
  </si>
  <si>
    <t>=t(s)</t>
  </si>
  <si>
    <t>=Q(v)</t>
  </si>
  <si>
    <t>%</t>
  </si>
  <si>
    <t>ICE</t>
  </si>
  <si>
    <r>
      <t xml:space="preserve">ANY OTHER PIPE- OR INSULATION MATERIAL; </t>
    </r>
    <r>
      <rPr>
        <sz val="14"/>
        <color indexed="10"/>
        <rFont val="Switzerland"/>
        <family val="2"/>
      </rPr>
      <t>FILL IN VALUE !!!</t>
    </r>
    <r>
      <rPr>
        <sz val="14"/>
        <rFont val="Switzerland"/>
        <family val="2"/>
      </rPr>
      <t>!</t>
    </r>
  </si>
  <si>
    <t>TEMPERATURE DECREASE IN FLOWING MEDIUM IN UNDERGROUND PIPE LINES</t>
  </si>
  <si>
    <t>Concrete</t>
  </si>
  <si>
    <t>hdpe</t>
  </si>
  <si>
    <t>other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</si>
</sst>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0.00_)"/>
    <numFmt numFmtId="195" formatCode="0.0000"/>
    <numFmt numFmtId="196" formatCode="0.000"/>
    <numFmt numFmtId="197" formatCode="0.0"/>
    <numFmt numFmtId="198" formatCode="0.00000000"/>
    <numFmt numFmtId="199" formatCode="0.0000000000"/>
    <numFmt numFmtId="200" formatCode="0.0_ ;[Red]\-0.0\ "/>
  </numFmts>
  <fonts count="51">
    <font>
      <sz val="12"/>
      <name val="Helv"/>
      <family val="0"/>
    </font>
    <font>
      <sz val="11"/>
      <name val="Switzerland"/>
      <family val="0"/>
    </font>
    <font>
      <sz val="11"/>
      <color indexed="12"/>
      <name val="Switzerland"/>
      <family val="2"/>
    </font>
    <font>
      <sz val="14"/>
      <name val="Switzerland"/>
      <family val="2"/>
    </font>
    <font>
      <b/>
      <sz val="14"/>
      <color indexed="10"/>
      <name val="Switzerland"/>
      <family val="2"/>
    </font>
    <font>
      <vertAlign val="superscript"/>
      <sz val="14"/>
      <name val="Switzerland"/>
      <family val="2"/>
    </font>
    <font>
      <sz val="14"/>
      <color indexed="12"/>
      <name val="Switzerland"/>
      <family val="2"/>
    </font>
    <font>
      <sz val="14"/>
      <color indexed="10"/>
      <name val="Switzerland"/>
      <family val="2"/>
    </font>
    <font>
      <sz val="14"/>
      <color indexed="53"/>
      <name val="Switzerland"/>
      <family val="2"/>
    </font>
    <font>
      <b/>
      <sz val="14"/>
      <color indexed="48"/>
      <name val="Switzerland"/>
      <family val="2"/>
    </font>
    <font>
      <sz val="14"/>
      <color indexed="8"/>
      <name val="Switzerland"/>
      <family val="2"/>
    </font>
    <font>
      <b/>
      <sz val="20"/>
      <color indexed="10"/>
      <name val="Switzerland"/>
      <family val="2"/>
    </font>
    <font>
      <sz val="20"/>
      <name val="Switzerland"/>
      <family val="2"/>
    </font>
    <font>
      <sz val="11"/>
      <color indexed="53"/>
      <name val="Switzerland"/>
      <family val="2"/>
    </font>
    <font>
      <b/>
      <sz val="16"/>
      <color indexed="12"/>
      <name val="Switzerland"/>
      <family val="2"/>
    </font>
    <font>
      <sz val="14"/>
      <color indexed="48"/>
      <name val="Switzerland"/>
      <family val="2"/>
    </font>
    <font>
      <sz val="16"/>
      <name val="Switzerlan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194" fontId="0" fillId="0" borderId="0" xfId="0" applyAlignment="1">
      <alignment/>
    </xf>
    <xf numFmtId="194" fontId="1" fillId="0" borderId="0" xfId="0" applyFont="1" applyAlignment="1" applyProtection="1">
      <alignment/>
      <protection hidden="1"/>
    </xf>
    <xf numFmtId="195" fontId="1" fillId="0" borderId="0" xfId="0" applyNumberFormat="1" applyFont="1" applyAlignment="1" applyProtection="1">
      <alignment/>
      <protection hidden="1"/>
    </xf>
    <xf numFmtId="194" fontId="2" fillId="0" borderId="0" xfId="0" applyFont="1" applyAlignment="1" applyProtection="1">
      <alignment/>
      <protection hidden="1"/>
    </xf>
    <xf numFmtId="194" fontId="3" fillId="0" borderId="0" xfId="0" applyFont="1" applyFill="1" applyBorder="1" applyAlignment="1" applyProtection="1">
      <alignment horizontal="left"/>
      <protection hidden="1"/>
    </xf>
    <xf numFmtId="194" fontId="3" fillId="0" borderId="0" xfId="0" applyFont="1" applyAlignment="1" applyProtection="1">
      <alignment horizontal="right"/>
      <protection hidden="1"/>
    </xf>
    <xf numFmtId="195" fontId="4" fillId="0" borderId="0" xfId="0" applyNumberFormat="1" applyFont="1" applyAlignment="1" applyProtection="1">
      <alignment/>
      <protection hidden="1"/>
    </xf>
    <xf numFmtId="194" fontId="3" fillId="0" borderId="0" xfId="0" applyFont="1" applyFill="1" applyBorder="1" applyAlignment="1" applyProtection="1">
      <alignment horizontal="right"/>
      <protection hidden="1"/>
    </xf>
    <xf numFmtId="194" fontId="6" fillId="0" borderId="0" xfId="0" applyFont="1" applyAlignment="1" applyProtection="1">
      <alignment/>
      <protection hidden="1"/>
    </xf>
    <xf numFmtId="194" fontId="3" fillId="0" borderId="0" xfId="0" applyFont="1" applyAlignment="1" applyProtection="1">
      <alignment/>
      <protection hidden="1"/>
    </xf>
    <xf numFmtId="195" fontId="7" fillId="0" borderId="0" xfId="0" applyNumberFormat="1" applyFont="1" applyFill="1" applyBorder="1" applyAlignment="1" applyProtection="1">
      <alignment/>
      <protection hidden="1"/>
    </xf>
    <xf numFmtId="1" fontId="8" fillId="0" borderId="0" xfId="0" applyNumberFormat="1" applyFont="1" applyAlignment="1" applyProtection="1">
      <alignment/>
      <protection hidden="1"/>
    </xf>
    <xf numFmtId="196" fontId="8" fillId="0" borderId="0" xfId="0" applyNumberFormat="1" applyFont="1" applyAlignment="1" applyProtection="1">
      <alignment/>
      <protection hidden="1"/>
    </xf>
    <xf numFmtId="194" fontId="3" fillId="0" borderId="0" xfId="0" applyFont="1" applyFill="1" applyBorder="1" applyAlignment="1" applyProtection="1">
      <alignment/>
      <protection hidden="1"/>
    </xf>
    <xf numFmtId="197" fontId="7" fillId="0" borderId="0" xfId="0" applyNumberFormat="1" applyFont="1" applyAlignment="1" applyProtection="1">
      <alignment/>
      <protection hidden="1"/>
    </xf>
    <xf numFmtId="197" fontId="9" fillId="33" borderId="0" xfId="0" applyNumberFormat="1" applyFont="1" applyFill="1" applyAlignment="1" applyProtection="1">
      <alignment/>
      <protection hidden="1" locked="0"/>
    </xf>
    <xf numFmtId="197" fontId="8" fillId="0" borderId="0" xfId="0" applyNumberFormat="1" applyFont="1" applyAlignment="1" applyProtection="1">
      <alignment/>
      <protection hidden="1"/>
    </xf>
    <xf numFmtId="194" fontId="3" fillId="0" borderId="0" xfId="0" applyFont="1" applyAlignment="1" applyProtection="1">
      <alignment horizontal="left"/>
      <protection hidden="1"/>
    </xf>
    <xf numFmtId="195" fontId="3" fillId="0" borderId="0" xfId="0" applyNumberFormat="1" applyFont="1" applyAlignment="1" applyProtection="1">
      <alignment/>
      <protection hidden="1"/>
    </xf>
    <xf numFmtId="194" fontId="3" fillId="0" borderId="0" xfId="0" applyFont="1" applyFill="1" applyBorder="1" applyAlignment="1" applyProtection="1">
      <alignment horizontal="center"/>
      <protection hidden="1"/>
    </xf>
    <xf numFmtId="194" fontId="3" fillId="0" borderId="0" xfId="0" applyFont="1" applyAlignment="1" applyProtection="1">
      <alignment horizontal="center"/>
      <protection hidden="1"/>
    </xf>
    <xf numFmtId="195" fontId="6" fillId="0" borderId="0" xfId="0" applyNumberFormat="1" applyFont="1" applyAlignment="1" applyProtection="1">
      <alignment/>
      <protection hidden="1"/>
    </xf>
    <xf numFmtId="194" fontId="10" fillId="0" borderId="0" xfId="0" applyFont="1" applyAlignment="1" applyProtection="1">
      <alignment horizontal="center"/>
      <protection hidden="1"/>
    </xf>
    <xf numFmtId="195" fontId="10" fillId="0" borderId="0" xfId="0" applyNumberFormat="1" applyFont="1" applyAlignment="1" applyProtection="1">
      <alignment horizontal="center"/>
      <protection hidden="1"/>
    </xf>
    <xf numFmtId="194" fontId="8" fillId="0" borderId="0" xfId="0" applyFont="1" applyAlignment="1" applyProtection="1">
      <alignment/>
      <protection hidden="1"/>
    </xf>
    <xf numFmtId="196" fontId="8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/>
      <protection hidden="1"/>
    </xf>
    <xf numFmtId="195" fontId="8" fillId="0" borderId="0" xfId="0" applyNumberFormat="1" applyFont="1" applyAlignment="1" applyProtection="1">
      <alignment/>
      <protection hidden="1"/>
    </xf>
    <xf numFmtId="195" fontId="8" fillId="0" borderId="0" xfId="0" applyNumberFormat="1" applyFont="1" applyFill="1" applyBorder="1" applyAlignment="1" applyProtection="1">
      <alignment/>
      <protection hidden="1"/>
    </xf>
    <xf numFmtId="194" fontId="8" fillId="0" borderId="0" xfId="0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194" fontId="11" fillId="0" borderId="0" xfId="0" applyFont="1" applyFill="1" applyBorder="1" applyAlignment="1" applyProtection="1">
      <alignment horizontal="center"/>
      <protection hidden="1"/>
    </xf>
    <xf numFmtId="2" fontId="9" fillId="33" borderId="0" xfId="0" applyNumberFormat="1" applyFont="1" applyFill="1" applyAlignment="1" applyProtection="1">
      <alignment/>
      <protection hidden="1" locked="0"/>
    </xf>
    <xf numFmtId="194" fontId="9" fillId="33" borderId="0" xfId="0" applyFont="1" applyFill="1" applyBorder="1" applyAlignment="1" applyProtection="1">
      <alignment horizontal="left"/>
      <protection hidden="1" locked="0"/>
    </xf>
    <xf numFmtId="196" fontId="9" fillId="33" borderId="0" xfId="0" applyNumberFormat="1" applyFont="1" applyFill="1" applyAlignment="1" applyProtection="1">
      <alignment horizontal="center"/>
      <protection hidden="1" locked="0"/>
    </xf>
    <xf numFmtId="194" fontId="1" fillId="0" borderId="0" xfId="0" applyFont="1" applyAlignment="1" applyProtection="1" quotePrefix="1">
      <alignment/>
      <protection hidden="1"/>
    </xf>
    <xf numFmtId="194" fontId="2" fillId="0" borderId="0" xfId="0" applyFont="1" applyAlignment="1" applyProtection="1" quotePrefix="1">
      <alignment/>
      <protection hidden="1"/>
    </xf>
    <xf numFmtId="199" fontId="2" fillId="0" borderId="0" xfId="0" applyNumberFormat="1" applyFont="1" applyAlignment="1" applyProtection="1">
      <alignment/>
      <protection hidden="1"/>
    </xf>
    <xf numFmtId="197" fontId="4" fillId="0" borderId="0" xfId="0" applyNumberFormat="1" applyFont="1" applyAlignment="1" applyProtection="1">
      <alignment/>
      <protection hidden="1"/>
    </xf>
    <xf numFmtId="200" fontId="9" fillId="33" borderId="0" xfId="0" applyNumberFormat="1" applyFont="1" applyFill="1" applyAlignment="1" applyProtection="1">
      <alignment/>
      <protection hidden="1" locked="0"/>
    </xf>
    <xf numFmtId="2" fontId="13" fillId="0" borderId="0" xfId="0" applyNumberFormat="1" applyFont="1" applyAlignment="1" applyProtection="1">
      <alignment/>
      <protection hidden="1"/>
    </xf>
    <xf numFmtId="194" fontId="11" fillId="0" borderId="10" xfId="0" applyFont="1" applyFill="1" applyBorder="1" applyAlignment="1" applyProtection="1">
      <alignment horizontal="center"/>
      <protection hidden="1"/>
    </xf>
    <xf numFmtId="194" fontId="11" fillId="0" borderId="11" xfId="0" applyFont="1" applyFill="1" applyBorder="1" applyAlignment="1" applyProtection="1">
      <alignment horizontal="center"/>
      <protection hidden="1"/>
    </xf>
    <xf numFmtId="194" fontId="11" fillId="0" borderId="12" xfId="0" applyFont="1" applyFill="1" applyBorder="1" applyAlignment="1" applyProtection="1">
      <alignment horizontal="center"/>
      <protection hidden="1"/>
    </xf>
    <xf numFmtId="194" fontId="14" fillId="0" borderId="10" xfId="0" applyFont="1" applyBorder="1" applyAlignment="1" applyProtection="1">
      <alignment horizontal="center"/>
      <protection hidden="1"/>
    </xf>
    <xf numFmtId="194" fontId="14" fillId="0" borderId="11" xfId="0" applyFont="1" applyBorder="1" applyAlignment="1" applyProtection="1">
      <alignment horizontal="center"/>
      <protection hidden="1"/>
    </xf>
    <xf numFmtId="194" fontId="14" fillId="0" borderId="12" xfId="0" applyFont="1" applyBorder="1" applyAlignment="1" applyProtection="1">
      <alignment horizontal="center"/>
      <protection hidden="1"/>
    </xf>
    <xf numFmtId="2" fontId="7" fillId="34" borderId="0" xfId="0" applyNumberFormat="1" applyFont="1" applyFill="1" applyAlignment="1" applyProtection="1">
      <alignment/>
      <protection hidden="1"/>
    </xf>
    <xf numFmtId="194" fontId="6" fillId="0" borderId="0" xfId="0" applyFont="1" applyAlignment="1" applyProtection="1" quotePrefix="1">
      <alignment/>
      <protection hidden="1"/>
    </xf>
    <xf numFmtId="199" fontId="6" fillId="0" borderId="0" xfId="0" applyNumberFormat="1" applyFont="1" applyAlignment="1" applyProtection="1">
      <alignment/>
      <protection hidden="1"/>
    </xf>
    <xf numFmtId="194" fontId="16" fillId="0" borderId="0" xfId="0" applyFont="1" applyFill="1" applyBorder="1" applyAlignment="1" applyProtection="1">
      <alignment/>
      <protection hidden="1"/>
    </xf>
    <xf numFmtId="195" fontId="3" fillId="0" borderId="0" xfId="0" applyNumberFormat="1" applyFont="1" applyFill="1" applyBorder="1" applyAlignment="1" applyProtection="1">
      <alignment/>
      <protection hidden="1"/>
    </xf>
    <xf numFmtId="194" fontId="6" fillId="0" borderId="0" xfId="0" applyFont="1" applyFill="1" applyBorder="1" applyAlignment="1" applyProtection="1">
      <alignment/>
      <protection hidden="1"/>
    </xf>
    <xf numFmtId="197" fontId="7" fillId="0" borderId="0" xfId="0" applyNumberFormat="1" applyFont="1" applyFill="1" applyBorder="1" applyAlignment="1" applyProtection="1">
      <alignment/>
      <protection hidden="1"/>
    </xf>
    <xf numFmtId="194" fontId="12" fillId="0" borderId="0" xfId="0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196" fontId="7" fillId="0" borderId="0" xfId="0" applyNumberFormat="1" applyFont="1" applyFill="1" applyBorder="1" applyAlignment="1" applyProtection="1">
      <alignment/>
      <protection hidden="1"/>
    </xf>
    <xf numFmtId="195" fontId="6" fillId="0" borderId="0" xfId="0" applyNumberFormat="1" applyFont="1" applyFill="1" applyBorder="1" applyAlignment="1" applyProtection="1">
      <alignment/>
      <protection hidden="1"/>
    </xf>
    <xf numFmtId="194" fontId="3" fillId="0" borderId="0" xfId="0" applyFont="1" applyFill="1" applyBorder="1" applyAlignment="1" applyProtection="1" quotePrefix="1">
      <alignment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1" fontId="6" fillId="33" borderId="0" xfId="0" applyNumberFormat="1" applyFont="1" applyFill="1" applyBorder="1" applyAlignment="1" applyProtection="1">
      <alignment/>
      <protection hidden="1" locked="0"/>
    </xf>
    <xf numFmtId="200" fontId="6" fillId="33" borderId="0" xfId="0" applyNumberFormat="1" applyFont="1" applyFill="1" applyBorder="1" applyAlignment="1" applyProtection="1">
      <alignment/>
      <protection hidden="1" locked="0"/>
    </xf>
    <xf numFmtId="197" fontId="6" fillId="33" borderId="0" xfId="0" applyNumberFormat="1" applyFont="1" applyFill="1" applyBorder="1" applyAlignment="1" applyProtection="1">
      <alignment/>
      <protection hidden="1" locked="0"/>
    </xf>
    <xf numFmtId="197" fontId="15" fillId="33" borderId="0" xfId="0" applyNumberFormat="1" applyFont="1" applyFill="1" applyBorder="1" applyAlignment="1" applyProtection="1">
      <alignment/>
      <protection hidden="1" locked="0"/>
    </xf>
    <xf numFmtId="197" fontId="9" fillId="0" borderId="0" xfId="0" applyNumberFormat="1" applyFont="1" applyFill="1" applyAlignment="1" applyProtection="1">
      <alignment/>
      <protection hidden="1"/>
    </xf>
    <xf numFmtId="196" fontId="6" fillId="33" borderId="0" xfId="0" applyNumberFormat="1" applyFont="1" applyFill="1" applyBorder="1" applyAlignment="1" applyProtection="1">
      <alignment/>
      <protection hidden="1" locked="0"/>
    </xf>
    <xf numFmtId="194" fontId="11" fillId="0" borderId="10" xfId="0" applyFont="1" applyFill="1" applyBorder="1" applyAlignment="1" applyProtection="1">
      <alignment horizontal="center"/>
      <protection hidden="1"/>
    </xf>
    <xf numFmtId="194" fontId="11" fillId="0" borderId="11" xfId="0" applyFont="1" applyFill="1" applyBorder="1" applyAlignment="1" applyProtection="1">
      <alignment horizontal="center"/>
      <protection hidden="1"/>
    </xf>
    <xf numFmtId="194" fontId="11" fillId="0" borderId="12" xfId="0" applyFont="1" applyFill="1" applyBorder="1" applyAlignment="1" applyProtection="1">
      <alignment horizontal="center"/>
      <protection hidden="1"/>
    </xf>
    <xf numFmtId="194" fontId="14" fillId="0" borderId="10" xfId="0" applyFont="1" applyBorder="1" applyAlignment="1" applyProtection="1">
      <alignment horizontal="center"/>
      <protection hidden="1"/>
    </xf>
    <xf numFmtId="194" fontId="14" fillId="0" borderId="11" xfId="0" applyFont="1" applyBorder="1" applyAlignment="1" applyProtection="1">
      <alignment horizontal="center"/>
      <protection hidden="1"/>
    </xf>
    <xf numFmtId="194" fontId="14" fillId="0" borderId="12" xfId="0" applyFont="1" applyBorder="1" applyAlignment="1" applyProtection="1">
      <alignment horizontal="center"/>
      <protection hidden="1"/>
    </xf>
    <xf numFmtId="194" fontId="3" fillId="0" borderId="13" xfId="0" applyFont="1" applyFill="1" applyBorder="1" applyAlignment="1" applyProtection="1">
      <alignment horizontal="left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69"/>
  <sheetViews>
    <sheetView tabSelected="1" view="pageBreakPreview" zoomScale="60" zoomScaleNormal="60" zoomScalePageLayoutView="0" workbookViewId="0" topLeftCell="A1">
      <selection activeCell="E23" sqref="E23"/>
    </sheetView>
  </sheetViews>
  <sheetFormatPr defaultColWidth="9.77734375" defaultRowHeight="15.75"/>
  <cols>
    <col min="1" max="1" width="69.77734375" style="1" bestFit="1" customWidth="1"/>
    <col min="2" max="3" width="10.77734375" style="1" customWidth="1"/>
    <col min="4" max="4" width="10.77734375" style="2" customWidth="1"/>
    <col min="5" max="5" width="66.77734375" style="1" customWidth="1"/>
    <col min="6" max="6" width="10.77734375" style="1" bestFit="1" customWidth="1"/>
    <col min="7" max="16384" width="9.77734375" style="1" customWidth="1"/>
  </cols>
  <sheetData>
    <row r="1" spans="1:5" s="9" customFormat="1" ht="21.75" thickBot="1" thickTop="1">
      <c r="A1" s="70" t="s">
        <v>61</v>
      </c>
      <c r="B1" s="71"/>
      <c r="C1" s="71"/>
      <c r="D1" s="71"/>
      <c r="E1" s="72"/>
    </row>
    <row r="2" spans="1:4" s="9" customFormat="1" ht="18.75" thickTop="1">
      <c r="A2" s="17" t="s">
        <v>20</v>
      </c>
      <c r="B2" s="17"/>
      <c r="D2" s="18"/>
    </row>
    <row r="3" s="9" customFormat="1" ht="18">
      <c r="D3" s="18"/>
    </row>
    <row r="4" spans="1:5" s="9" customFormat="1" ht="18">
      <c r="A4" s="19" t="s">
        <v>21</v>
      </c>
      <c r="B4" s="19"/>
      <c r="D4" s="18"/>
      <c r="E4" s="20" t="s">
        <v>44</v>
      </c>
    </row>
    <row r="5" spans="1:5" s="9" customFormat="1" ht="18">
      <c r="A5" s="4" t="s">
        <v>22</v>
      </c>
      <c r="B5" s="4"/>
      <c r="C5" s="5" t="s">
        <v>10</v>
      </c>
      <c r="D5" s="15">
        <v>60</v>
      </c>
      <c r="E5" s="8"/>
    </row>
    <row r="6" spans="1:5" s="9" customFormat="1" ht="18">
      <c r="A6" s="4" t="s">
        <v>54</v>
      </c>
      <c r="B6" s="4"/>
      <c r="C6" s="5" t="s">
        <v>10</v>
      </c>
      <c r="D6" s="40">
        <v>5</v>
      </c>
      <c r="E6" s="8"/>
    </row>
    <row r="7" spans="1:5" s="9" customFormat="1" ht="21">
      <c r="A7" s="4" t="s">
        <v>42</v>
      </c>
      <c r="B7" s="4"/>
      <c r="C7" s="7" t="s">
        <v>62</v>
      </c>
      <c r="D7" s="15">
        <v>999</v>
      </c>
      <c r="E7" s="8"/>
    </row>
    <row r="8" spans="1:5" s="9" customFormat="1" ht="18">
      <c r="A8" s="4" t="s">
        <v>43</v>
      </c>
      <c r="B8" s="4"/>
      <c r="C8" s="5" t="s">
        <v>14</v>
      </c>
      <c r="D8" s="33">
        <v>0.6</v>
      </c>
      <c r="E8" s="8"/>
    </row>
    <row r="9" spans="1:5" s="9" customFormat="1" ht="18">
      <c r="A9" s="4" t="s">
        <v>69</v>
      </c>
      <c r="B9" s="4"/>
      <c r="C9" s="5" t="s">
        <v>70</v>
      </c>
      <c r="D9" s="48">
        <f>PI()/4*(D17/1000)^2*D7</f>
        <v>0.4296225657315568</v>
      </c>
      <c r="E9" s="8"/>
    </row>
    <row r="10" spans="1:5" s="9" customFormat="1" ht="18">
      <c r="A10" s="4" t="s">
        <v>24</v>
      </c>
      <c r="B10" s="4"/>
      <c r="C10" s="5" t="s">
        <v>11</v>
      </c>
      <c r="D10" s="10">
        <f>PI()/4*(D17/1000)^2*D7*D8</f>
        <v>0.2577735394389341</v>
      </c>
      <c r="E10" s="8"/>
    </row>
    <row r="11" spans="1:5" s="9" customFormat="1" ht="18">
      <c r="A11" s="4" t="s">
        <v>60</v>
      </c>
      <c r="B11" s="4"/>
      <c r="C11" s="5" t="s">
        <v>12</v>
      </c>
      <c r="D11" s="11">
        <f>4.2*10^3</f>
        <v>4200</v>
      </c>
      <c r="E11" s="8"/>
    </row>
    <row r="12" spans="1:5" s="9" customFormat="1" ht="18">
      <c r="A12" s="9" t="s">
        <v>64</v>
      </c>
      <c r="B12" s="34" t="s">
        <v>3</v>
      </c>
      <c r="C12" s="5" t="s">
        <v>1</v>
      </c>
      <c r="D12" s="12">
        <f>IF(B12="","",(LOOKUP(B12,$B$27:$C$38)))</f>
        <v>0.16</v>
      </c>
      <c r="E12" s="4" t="s">
        <v>26</v>
      </c>
    </row>
    <row r="13" spans="1:6" s="9" customFormat="1" ht="18">
      <c r="A13" s="9" t="s">
        <v>65</v>
      </c>
      <c r="B13" s="34"/>
      <c r="C13" s="5" t="s">
        <v>1</v>
      </c>
      <c r="D13" s="12">
        <f>IF(B13="","",(LOOKUP(B13,$B$27:$C$38)))</f>
      </c>
      <c r="E13" s="4" t="s">
        <v>27</v>
      </c>
      <c r="F13" s="9">
        <f>IF(+D13="",1,+D13)</f>
        <v>1</v>
      </c>
    </row>
    <row r="14" spans="1:6" s="9" customFormat="1" ht="18">
      <c r="A14" s="9" t="s">
        <v>66</v>
      </c>
      <c r="B14" s="34" t="s">
        <v>3</v>
      </c>
      <c r="C14" s="5" t="s">
        <v>1</v>
      </c>
      <c r="D14" s="12">
        <f>IF(B14="","",(LOOKUP(B14,$B$27:$C$38)))</f>
        <v>0.16</v>
      </c>
      <c r="E14" s="4" t="s">
        <v>28</v>
      </c>
      <c r="F14" s="9">
        <f>IF(D14="",1,+D14)</f>
        <v>0.16</v>
      </c>
    </row>
    <row r="15" spans="1:5" s="9" customFormat="1" ht="18">
      <c r="A15" s="4" t="s">
        <v>30</v>
      </c>
      <c r="B15" s="4"/>
      <c r="C15" s="5" t="s">
        <v>13</v>
      </c>
      <c r="D15" s="15">
        <v>28.6</v>
      </c>
      <c r="E15" s="8"/>
    </row>
    <row r="16" spans="1:5" s="9" customFormat="1" ht="18">
      <c r="A16" s="13" t="s">
        <v>31</v>
      </c>
      <c r="B16" s="13"/>
      <c r="C16" s="5"/>
      <c r="D16" s="15">
        <v>11</v>
      </c>
      <c r="E16" s="8"/>
    </row>
    <row r="17" spans="1:5" s="9" customFormat="1" ht="18">
      <c r="A17" s="4" t="s">
        <v>41</v>
      </c>
      <c r="B17" s="4"/>
      <c r="C17" s="5" t="s">
        <v>13</v>
      </c>
      <c r="D17" s="14">
        <f>D15-2*D15/D16</f>
        <v>23.400000000000002</v>
      </c>
      <c r="E17" s="8"/>
    </row>
    <row r="18" spans="1:6" s="9" customFormat="1" ht="18">
      <c r="A18" s="4" t="s">
        <v>33</v>
      </c>
      <c r="B18" s="4"/>
      <c r="C18" s="5" t="s">
        <v>13</v>
      </c>
      <c r="D18" s="15">
        <v>48.26</v>
      </c>
      <c r="E18" s="8"/>
      <c r="F18" s="9">
        <f>IF(B14="",F20,IF(D18="",F20,IF(D20&lt;=D15,F20,D18)))</f>
        <v>48.26</v>
      </c>
    </row>
    <row r="19" spans="1:4" s="9" customFormat="1" ht="18">
      <c r="A19" s="9" t="s">
        <v>57</v>
      </c>
      <c r="D19" s="15">
        <f>48.26/2.79</f>
        <v>17.29749103942652</v>
      </c>
    </row>
    <row r="20" spans="1:6" s="9" customFormat="1" ht="18">
      <c r="A20" s="4" t="s">
        <v>32</v>
      </c>
      <c r="B20" s="4"/>
      <c r="C20" s="5" t="s">
        <v>13</v>
      </c>
      <c r="D20" s="16">
        <f>D18-(2*D18/D19)</f>
        <v>42.68</v>
      </c>
      <c r="E20" s="8"/>
      <c r="F20" s="9">
        <f>IF(B14="",D15,IF(D20&gt;=D15,D20,D15))</f>
        <v>42.68</v>
      </c>
    </row>
    <row r="21" spans="1:5" s="9" customFormat="1" ht="18">
      <c r="A21" s="17" t="s">
        <v>53</v>
      </c>
      <c r="B21" s="17"/>
      <c r="C21" s="5" t="s">
        <v>14</v>
      </c>
      <c r="D21" s="15">
        <v>3</v>
      </c>
      <c r="E21" s="8"/>
    </row>
    <row r="22" spans="1:5" s="9" customFormat="1" ht="18">
      <c r="A22" s="17" t="s">
        <v>35</v>
      </c>
      <c r="B22" s="17"/>
      <c r="C22" s="5" t="s">
        <v>15</v>
      </c>
      <c r="D22" s="15">
        <v>30</v>
      </c>
      <c r="E22" s="8"/>
    </row>
    <row r="23" spans="1:6" s="9" customFormat="1" ht="18">
      <c r="A23" s="4" t="s">
        <v>75</v>
      </c>
      <c r="B23" s="4"/>
      <c r="C23" s="5" t="s">
        <v>74</v>
      </c>
      <c r="D23" s="15">
        <v>10</v>
      </c>
      <c r="E23" s="4"/>
      <c r="F23" s="9">
        <f>D23*3600</f>
        <v>36000</v>
      </c>
    </row>
    <row r="24" spans="1:5" s="9" customFormat="1" ht="18">
      <c r="A24" s="4"/>
      <c r="B24" s="4"/>
      <c r="C24" s="5"/>
      <c r="D24" s="65"/>
      <c r="E24" s="4"/>
    </row>
    <row r="25" spans="1:4" s="9" customFormat="1" ht="18">
      <c r="A25" s="17"/>
      <c r="B25" s="17"/>
      <c r="C25" s="4" t="s">
        <v>50</v>
      </c>
      <c r="D25" s="21"/>
    </row>
    <row r="26" spans="1:4" s="9" customFormat="1" ht="18">
      <c r="A26" s="17"/>
      <c r="B26" s="17"/>
      <c r="C26" s="22" t="s">
        <v>1</v>
      </c>
      <c r="D26" s="23" t="s">
        <v>2</v>
      </c>
    </row>
    <row r="27" spans="1:4" s="9" customFormat="1" ht="18">
      <c r="A27" s="24"/>
      <c r="B27" s="7" t="s">
        <v>48</v>
      </c>
      <c r="C27" s="25">
        <v>0.023</v>
      </c>
      <c r="D27" s="26">
        <v>1.006</v>
      </c>
    </row>
    <row r="28" spans="2:4" s="9" customFormat="1" ht="18">
      <c r="B28" s="5" t="s">
        <v>5</v>
      </c>
      <c r="C28" s="25">
        <v>0.43</v>
      </c>
      <c r="D28" s="26">
        <v>1.9</v>
      </c>
    </row>
    <row r="29" spans="2:4" s="9" customFormat="1" ht="18">
      <c r="B29" s="5" t="s">
        <v>4</v>
      </c>
      <c r="C29" s="25">
        <v>0.33</v>
      </c>
      <c r="D29" s="26">
        <v>2.3</v>
      </c>
    </row>
    <row r="30" spans="2:5" s="9" customFormat="1" ht="18">
      <c r="B30" s="5" t="s">
        <v>63</v>
      </c>
      <c r="C30" s="35">
        <v>0.566</v>
      </c>
      <c r="D30" s="26"/>
      <c r="E30" s="9" t="s">
        <v>81</v>
      </c>
    </row>
    <row r="31" spans="2:4" s="9" customFormat="1" ht="18">
      <c r="B31" s="5" t="s">
        <v>7</v>
      </c>
      <c r="C31" s="25">
        <v>0.23</v>
      </c>
      <c r="D31" s="26">
        <v>1.8</v>
      </c>
    </row>
    <row r="32" spans="2:4" s="9" customFormat="1" ht="18">
      <c r="B32" s="5" t="s">
        <v>6</v>
      </c>
      <c r="C32" s="25">
        <v>0.22</v>
      </c>
      <c r="D32" s="26">
        <v>1.67</v>
      </c>
    </row>
    <row r="33" spans="2:5" s="9" customFormat="1" ht="18">
      <c r="B33" s="5" t="s">
        <v>59</v>
      </c>
      <c r="C33" s="25">
        <v>0.025</v>
      </c>
      <c r="D33" s="27"/>
      <c r="E33" s="17" t="s">
        <v>56</v>
      </c>
    </row>
    <row r="34" spans="2:4" s="9" customFormat="1" ht="18">
      <c r="B34" s="5" t="s">
        <v>3</v>
      </c>
      <c r="C34" s="25">
        <v>0.16</v>
      </c>
      <c r="D34" s="26">
        <v>1.01</v>
      </c>
    </row>
    <row r="35" spans="2:4" s="9" customFormat="1" ht="18">
      <c r="B35" s="5" t="s">
        <v>8</v>
      </c>
      <c r="C35" s="25">
        <v>0.12</v>
      </c>
      <c r="D35" s="26">
        <v>1.38</v>
      </c>
    </row>
    <row r="36" spans="2:4" s="9" customFormat="1" ht="18">
      <c r="B36" s="7" t="s">
        <v>49</v>
      </c>
      <c r="C36" s="25">
        <v>2.326</v>
      </c>
      <c r="D36" s="28"/>
    </row>
    <row r="37" spans="2:4" s="9" customFormat="1" ht="18">
      <c r="B37" s="5" t="s">
        <v>58</v>
      </c>
      <c r="C37" s="29">
        <v>67</v>
      </c>
      <c r="D37" s="30">
        <v>0.45</v>
      </c>
    </row>
    <row r="38" spans="2:5" s="9" customFormat="1" ht="18">
      <c r="B38" s="7" t="s">
        <v>9</v>
      </c>
      <c r="C38" s="25">
        <v>0.582</v>
      </c>
      <c r="D38" s="26">
        <v>4.2</v>
      </c>
      <c r="E38" s="31"/>
    </row>
    <row r="39" spans="1:5" s="9" customFormat="1" ht="18">
      <c r="A39" s="1"/>
      <c r="B39" s="5" t="s">
        <v>80</v>
      </c>
      <c r="C39" s="3"/>
      <c r="D39" s="41">
        <v>336</v>
      </c>
      <c r="E39" s="1"/>
    </row>
    <row r="40" ht="15" thickBot="1"/>
    <row r="41" spans="1:5" s="9" customFormat="1" ht="27.75" thickBot="1" thickTop="1">
      <c r="A41" s="67" t="s">
        <v>36</v>
      </c>
      <c r="B41" s="68"/>
      <c r="C41" s="68"/>
      <c r="D41" s="69"/>
      <c r="E41" s="32"/>
    </row>
    <row r="42" spans="1:5" s="9" customFormat="1" ht="18.75" thickTop="1">
      <c r="A42" s="4" t="s">
        <v>37</v>
      </c>
      <c r="B42" s="4"/>
      <c r="C42" s="5" t="s">
        <v>16</v>
      </c>
      <c r="D42" s="6">
        <f>IF(B41="",D44/(D10*D11),"")</f>
        <v>0.13066649647418954</v>
      </c>
      <c r="E42" s="4" t="s">
        <v>52</v>
      </c>
    </row>
    <row r="43" spans="1:5" s="9" customFormat="1" ht="18">
      <c r="A43" s="4" t="s">
        <v>51</v>
      </c>
      <c r="B43" s="4"/>
      <c r="C43" s="5" t="s">
        <v>19</v>
      </c>
      <c r="D43" s="6">
        <f>IF(B41="",D22*D42,"")</f>
        <v>3.9199948942256864</v>
      </c>
      <c r="E43" s="4" t="s">
        <v>45</v>
      </c>
    </row>
    <row r="44" spans="1:5" s="9" customFormat="1" ht="18">
      <c r="A44" s="4" t="s">
        <v>38</v>
      </c>
      <c r="B44" s="4"/>
      <c r="C44" s="5" t="s">
        <v>17</v>
      </c>
      <c r="D44" s="6">
        <f>1/A54*(D5-D6)</f>
        <v>141.46593418539476</v>
      </c>
      <c r="E44" s="4" t="s">
        <v>46</v>
      </c>
    </row>
    <row r="45" spans="1:5" s="9" customFormat="1" ht="18">
      <c r="A45" s="4" t="s">
        <v>39</v>
      </c>
      <c r="B45" s="4"/>
      <c r="C45" s="5" t="s">
        <v>18</v>
      </c>
      <c r="D45" s="6">
        <f>D22*D44/1000</f>
        <v>4.243978025561843</v>
      </c>
      <c r="E45" s="4" t="s">
        <v>0</v>
      </c>
    </row>
    <row r="46" spans="1:5" s="9" customFormat="1" ht="18">
      <c r="A46" s="4" t="s">
        <v>40</v>
      </c>
      <c r="B46" s="4"/>
      <c r="C46" s="5" t="s">
        <v>1</v>
      </c>
      <c r="D46" s="6">
        <f>1/A54</f>
        <v>2.5721078942799047</v>
      </c>
      <c r="E46" s="4" t="s">
        <v>47</v>
      </c>
    </row>
    <row r="47" spans="1:5" s="9" customFormat="1" ht="14.25" customHeight="1" thickBot="1">
      <c r="A47" s="4"/>
      <c r="B47" s="4"/>
      <c r="C47" s="5"/>
      <c r="D47" s="6"/>
      <c r="E47" s="4"/>
    </row>
    <row r="48" spans="1:5" s="9" customFormat="1" ht="27.75" thickBot="1" thickTop="1">
      <c r="A48" s="67" t="s">
        <v>72</v>
      </c>
      <c r="B48" s="68"/>
      <c r="C48" s="68"/>
      <c r="D48" s="69"/>
      <c r="E48" s="32"/>
    </row>
    <row r="49" spans="1:5" s="9" customFormat="1" ht="18.75" thickTop="1">
      <c r="A49" s="4" t="s">
        <v>73</v>
      </c>
      <c r="B49" s="4"/>
      <c r="C49" s="5" t="s">
        <v>74</v>
      </c>
      <c r="D49" s="39">
        <f>IF(D6&lt;0,A57/3600,"")</f>
      </c>
      <c r="E49" s="4"/>
    </row>
    <row r="50" spans="1:5" s="9" customFormat="1" ht="18">
      <c r="A50" s="4" t="s">
        <v>76</v>
      </c>
      <c r="B50" s="4"/>
      <c r="C50" s="5" t="s">
        <v>79</v>
      </c>
      <c r="D50" s="39">
        <f>IF(D23&lt;D49,"",(IF(D6&lt;0,A59,"")))</f>
      </c>
      <c r="E50" s="4"/>
    </row>
    <row r="51" spans="1:5" s="9" customFormat="1" ht="18">
      <c r="A51" s="4"/>
      <c r="B51" s="4"/>
      <c r="C51" s="5"/>
      <c r="D51" s="6"/>
      <c r="E51" s="4"/>
    </row>
    <row r="52" s="9" customFormat="1" ht="18"/>
    <row r="54" spans="1:2" ht="14.25">
      <c r="A54" s="1">
        <f>0.1592*(1/D12*LN(D15/D17)+1/F13*LN(F20/D15)+1/F14*LN(F18/F20)+2/(A55*F18))</f>
        <v>0.3887861789250342</v>
      </c>
      <c r="B54" s="36" t="s">
        <v>67</v>
      </c>
    </row>
    <row r="55" spans="1:2" ht="14.25">
      <c r="A55" s="3">
        <f>(4.7+0.0035*(D5-D6))*(D21^0.61)/(F18^0.39)</f>
        <v>2.1085103921777066</v>
      </c>
      <c r="B55" s="37" t="s">
        <v>68</v>
      </c>
    </row>
    <row r="56" spans="1:2" ht="14.25">
      <c r="A56" s="38">
        <f>1/(D9*A54*D38*1000)</f>
        <v>0.0014254526888093405</v>
      </c>
      <c r="B56" s="37" t="s">
        <v>71</v>
      </c>
    </row>
    <row r="57" spans="1:2" ht="14.25">
      <c r="A57" s="3">
        <f>((LN((D5-D6)/ABS(D6)))/A56)</f>
        <v>1682.1991298787314</v>
      </c>
      <c r="B57" s="37" t="s">
        <v>77</v>
      </c>
    </row>
    <row r="58" spans="1:2" ht="14.25">
      <c r="A58" s="3">
        <f>ABS(D6/A54)</f>
        <v>12.860539471399523</v>
      </c>
      <c r="B58" s="37" t="s">
        <v>78</v>
      </c>
    </row>
    <row r="59" spans="1:2" ht="14.25">
      <c r="A59" s="3">
        <f>A58*(F23-A57)/(D9*D39*1000)*100</f>
        <v>305.7400095271118</v>
      </c>
      <c r="B59" s="3"/>
    </row>
    <row r="60" spans="1:2" ht="14.25">
      <c r="A60" s="3"/>
      <c r="B60" s="3"/>
    </row>
    <row r="61" spans="1:2" ht="14.25">
      <c r="A61" s="3"/>
      <c r="B61" s="3"/>
    </row>
    <row r="62" spans="1:2" ht="14.25">
      <c r="A62" s="3"/>
      <c r="B62" s="3"/>
    </row>
    <row r="63" spans="1:2" ht="14.25">
      <c r="A63" s="3"/>
      <c r="B63" s="3"/>
    </row>
    <row r="64" spans="1:2" ht="14.25">
      <c r="A64" s="3"/>
      <c r="B64" s="3"/>
    </row>
    <row r="65" spans="1:2" ht="14.25">
      <c r="A65" s="3"/>
      <c r="B65" s="3"/>
    </row>
    <row r="66" spans="1:2" ht="14.25">
      <c r="A66" s="3"/>
      <c r="B66" s="3"/>
    </row>
    <row r="67" spans="1:2" ht="14.25">
      <c r="A67" s="3"/>
      <c r="B67" s="3"/>
    </row>
    <row r="68" spans="1:2" ht="14.25">
      <c r="A68" s="3"/>
      <c r="B68" s="3"/>
    </row>
    <row r="69" spans="1:2" ht="14.25">
      <c r="A69" s="3"/>
      <c r="B69" s="3"/>
    </row>
  </sheetData>
  <sheetProtection/>
  <mergeCells count="3">
    <mergeCell ref="A48:D48"/>
    <mergeCell ref="A1:E1"/>
    <mergeCell ref="A41:D41"/>
  </mergeCells>
  <printOptions/>
  <pageMargins left="0.75" right="0.75" top="1" bottom="1" header="0.5" footer="0.5"/>
  <pageSetup fitToHeight="0" horizontalDpi="600" verticalDpi="600" orientation="landscape" paperSize="9" scale="50" r:id="rId1"/>
  <headerFooter alignWithMargins="0">
    <oddFooter>&amp;L&amp;"Arial,Vet"&amp;20WAVIN OVERSEAS B.V.&amp;C&amp;D&amp;R&amp;F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 transitionEntry="1">
    <pageSetUpPr fitToPage="1"/>
  </sheetPr>
  <dimension ref="A1:F83"/>
  <sheetViews>
    <sheetView view="pageBreakPreview" zoomScale="60" zoomScaleNormal="75" zoomScalePageLayoutView="0" workbookViewId="0" topLeftCell="A5">
      <selection activeCell="A11" sqref="A11"/>
    </sheetView>
  </sheetViews>
  <sheetFormatPr defaultColWidth="9.77734375" defaultRowHeight="15.75"/>
  <cols>
    <col min="1" max="1" width="69.88671875" style="13" customWidth="1"/>
    <col min="2" max="3" width="10.77734375" style="13" customWidth="1"/>
    <col min="4" max="4" width="10.77734375" style="52" customWidth="1"/>
    <col min="5" max="5" width="66.77734375" style="13" customWidth="1"/>
    <col min="6" max="6" width="11.99609375" style="13" bestFit="1" customWidth="1"/>
    <col min="7" max="16384" width="9.77734375" style="13" customWidth="1"/>
  </cols>
  <sheetData>
    <row r="1" spans="1:5" s="51" customFormat="1" ht="21.75" thickBot="1" thickTop="1">
      <c r="A1" s="45" t="s">
        <v>61</v>
      </c>
      <c r="B1" s="46"/>
      <c r="C1" s="46"/>
      <c r="D1" s="46"/>
      <c r="E1" s="47"/>
    </row>
    <row r="2" spans="1:3" ht="18.75" thickTop="1">
      <c r="A2" s="73" t="s">
        <v>82</v>
      </c>
      <c r="B2" s="73"/>
      <c r="C2" s="73"/>
    </row>
    <row r="4" spans="1:5" ht="18">
      <c r="A4" s="19" t="s">
        <v>21</v>
      </c>
      <c r="B4" s="19"/>
      <c r="E4" s="19" t="s">
        <v>44</v>
      </c>
    </row>
    <row r="5" spans="1:5" ht="18">
      <c r="A5" s="4" t="s">
        <v>22</v>
      </c>
      <c r="B5" s="4"/>
      <c r="C5" s="7" t="s">
        <v>10</v>
      </c>
      <c r="D5" s="61">
        <v>15</v>
      </c>
      <c r="E5" s="53"/>
    </row>
    <row r="6" spans="1:5" ht="18">
      <c r="A6" s="4" t="s">
        <v>23</v>
      </c>
      <c r="B6" s="4"/>
      <c r="C6" s="7" t="s">
        <v>10</v>
      </c>
      <c r="D6" s="62">
        <v>25</v>
      </c>
      <c r="E6" s="53"/>
    </row>
    <row r="7" spans="1:5" ht="21">
      <c r="A7" s="4" t="s">
        <v>42</v>
      </c>
      <c r="B7" s="4"/>
      <c r="C7" s="7" t="s">
        <v>62</v>
      </c>
      <c r="D7" s="61">
        <v>999</v>
      </c>
      <c r="E7" s="53"/>
    </row>
    <row r="8" spans="1:5" ht="18">
      <c r="A8" s="4" t="s">
        <v>43</v>
      </c>
      <c r="B8" s="4"/>
      <c r="C8" s="7" t="s">
        <v>14</v>
      </c>
      <c r="D8" s="63">
        <v>2</v>
      </c>
      <c r="E8" s="53"/>
    </row>
    <row r="9" spans="1:5" s="9" customFormat="1" ht="18">
      <c r="A9" s="4" t="s">
        <v>69</v>
      </c>
      <c r="B9" s="4"/>
      <c r="C9" s="5" t="s">
        <v>70</v>
      </c>
      <c r="D9" s="48">
        <f>PI()/4*(D18/1000)^2*D7</f>
        <v>0.32827290280970106</v>
      </c>
      <c r="E9" s="8"/>
    </row>
    <row r="10" spans="1:5" ht="18">
      <c r="A10" s="4" t="s">
        <v>24</v>
      </c>
      <c r="B10" s="4"/>
      <c r="C10" s="7" t="s">
        <v>11</v>
      </c>
      <c r="D10" s="10">
        <f>PI()/4*(D18/1000)^2*D7*D8</f>
        <v>0.6565458056194021</v>
      </c>
      <c r="E10" s="53"/>
    </row>
    <row r="11" spans="1:5" ht="18">
      <c r="A11" s="4" t="s">
        <v>25</v>
      </c>
      <c r="B11" s="4"/>
      <c r="C11" s="7" t="s">
        <v>12</v>
      </c>
      <c r="D11" s="60">
        <f>4.2*10^3</f>
        <v>4200</v>
      </c>
      <c r="E11" s="53"/>
    </row>
    <row r="12" spans="1:5" ht="18">
      <c r="A12" s="9" t="s">
        <v>64</v>
      </c>
      <c r="B12" s="34" t="s">
        <v>84</v>
      </c>
      <c r="C12" s="7" t="s">
        <v>1</v>
      </c>
      <c r="D12" s="12">
        <f>IF(B12="","",(LOOKUP(B12,$B$27:$C$40)))</f>
        <v>0.43</v>
      </c>
      <c r="E12" s="4" t="s">
        <v>26</v>
      </c>
    </row>
    <row r="13" spans="1:6" ht="18">
      <c r="A13" s="9" t="s">
        <v>65</v>
      </c>
      <c r="B13" s="34"/>
      <c r="C13" s="7" t="s">
        <v>1</v>
      </c>
      <c r="D13" s="12">
        <f>IF(B13="","",(LOOKUP(B13,$B$27:$C$40)))</f>
      </c>
      <c r="E13" s="4" t="s">
        <v>27</v>
      </c>
      <c r="F13" s="13">
        <f>IF(+D13="",1,+D13)</f>
        <v>1</v>
      </c>
    </row>
    <row r="14" spans="1:6" ht="18">
      <c r="A14" s="9" t="s">
        <v>66</v>
      </c>
      <c r="B14" s="34"/>
      <c r="C14" s="7" t="s">
        <v>1</v>
      </c>
      <c r="D14" s="12">
        <f>IF(B14="","",(LOOKUP(B14,$B$27:$C$40)))</f>
      </c>
      <c r="E14" s="4" t="s">
        <v>28</v>
      </c>
      <c r="F14" s="13">
        <f>IF(D14="",1,+D14)</f>
        <v>1</v>
      </c>
    </row>
    <row r="15" spans="1:5" ht="18">
      <c r="A15" s="4" t="s">
        <v>29</v>
      </c>
      <c r="B15" s="34" t="s">
        <v>85</v>
      </c>
      <c r="C15" s="7" t="s">
        <v>1</v>
      </c>
      <c r="D15" s="12">
        <f>IF(B15="","",(LOOKUP(B15,$B$27:$C$40)))</f>
        <v>1.6</v>
      </c>
      <c r="E15" s="53"/>
    </row>
    <row r="16" spans="1:5" ht="18">
      <c r="A16" s="4" t="s">
        <v>30</v>
      </c>
      <c r="B16" s="4"/>
      <c r="C16" s="7" t="s">
        <v>13</v>
      </c>
      <c r="D16" s="63">
        <v>25</v>
      </c>
      <c r="E16" s="53"/>
    </row>
    <row r="17" spans="1:4" ht="18">
      <c r="A17" s="13" t="s">
        <v>31</v>
      </c>
      <c r="D17" s="64">
        <v>11</v>
      </c>
    </row>
    <row r="18" spans="1:5" ht="18">
      <c r="A18" s="4" t="s">
        <v>41</v>
      </c>
      <c r="B18" s="4"/>
      <c r="C18" s="7" t="s">
        <v>13</v>
      </c>
      <c r="D18" s="54">
        <f>D16-2*D16/D17</f>
        <v>20.454545454545453</v>
      </c>
      <c r="E18" s="53"/>
    </row>
    <row r="19" spans="1:6" ht="18">
      <c r="A19" s="4" t="s">
        <v>33</v>
      </c>
      <c r="B19" s="4"/>
      <c r="C19" s="7" t="s">
        <v>13</v>
      </c>
      <c r="D19" s="63"/>
      <c r="E19" s="53"/>
      <c r="F19" s="9">
        <f>IF(B14="",F21,IF(D19="",F21,IF(D21&lt;=D16,F21,D19)))</f>
        <v>25</v>
      </c>
    </row>
    <row r="20" spans="1:5" ht="18">
      <c r="A20" s="9" t="s">
        <v>57</v>
      </c>
      <c r="B20" s="4"/>
      <c r="C20" s="7"/>
      <c r="D20" s="63"/>
      <c r="E20" s="53"/>
    </row>
    <row r="21" spans="1:6" ht="18">
      <c r="A21" s="4" t="s">
        <v>32</v>
      </c>
      <c r="B21" s="4"/>
      <c r="C21" s="7" t="s">
        <v>13</v>
      </c>
      <c r="D21" s="16" t="e">
        <f>D19-(2*D19/D20)</f>
        <v>#DIV/0!</v>
      </c>
      <c r="E21" s="53"/>
      <c r="F21" s="9">
        <f>IF(B14="",D16,IF(D21&gt;=D16,D21,D16))</f>
        <v>25</v>
      </c>
    </row>
    <row r="22" spans="1:5" ht="18">
      <c r="A22" s="4" t="s">
        <v>34</v>
      </c>
      <c r="B22" s="4"/>
      <c r="C22" s="7" t="s">
        <v>15</v>
      </c>
      <c r="D22" s="66">
        <v>1</v>
      </c>
      <c r="E22" s="53"/>
    </row>
    <row r="23" spans="1:5" ht="18">
      <c r="A23" s="4" t="s">
        <v>35</v>
      </c>
      <c r="B23" s="4"/>
      <c r="C23" s="7" t="s">
        <v>15</v>
      </c>
      <c r="D23" s="61">
        <v>500</v>
      </c>
      <c r="E23" s="53"/>
    </row>
    <row r="24" spans="1:6" s="9" customFormat="1" ht="18">
      <c r="A24" s="4" t="s">
        <v>75</v>
      </c>
      <c r="B24" s="4"/>
      <c r="C24" s="5" t="s">
        <v>74</v>
      </c>
      <c r="D24" s="15"/>
      <c r="E24" s="4"/>
      <c r="F24" s="9">
        <f>D24*3600</f>
        <v>0</v>
      </c>
    </row>
    <row r="25" spans="1:4" s="9" customFormat="1" ht="18">
      <c r="A25" s="17"/>
      <c r="B25" s="17"/>
      <c r="C25" s="4" t="s">
        <v>50</v>
      </c>
      <c r="D25" s="21"/>
    </row>
    <row r="26" spans="1:4" s="9" customFormat="1" ht="18">
      <c r="A26" s="17"/>
      <c r="B26" s="17"/>
      <c r="C26" s="22" t="s">
        <v>1</v>
      </c>
      <c r="D26" s="23" t="s">
        <v>2</v>
      </c>
    </row>
    <row r="27" spans="1:5" ht="18">
      <c r="A27" s="4"/>
      <c r="B27" s="7" t="s">
        <v>48</v>
      </c>
      <c r="C27" s="25">
        <v>0.023</v>
      </c>
      <c r="D27" s="26">
        <v>1.006</v>
      </c>
      <c r="E27" s="9"/>
    </row>
    <row r="28" spans="1:5" ht="18">
      <c r="A28" s="4"/>
      <c r="B28" s="7" t="s">
        <v>83</v>
      </c>
      <c r="C28" s="25">
        <v>1.512</v>
      </c>
      <c r="D28" s="26"/>
      <c r="E28" s="9"/>
    </row>
    <row r="29" spans="1:5" ht="18">
      <c r="A29" s="4"/>
      <c r="B29" s="5" t="s">
        <v>5</v>
      </c>
      <c r="C29" s="25">
        <v>0.43</v>
      </c>
      <c r="D29" s="26">
        <v>1.9</v>
      </c>
      <c r="E29" s="9"/>
    </row>
    <row r="30" spans="1:5" ht="18">
      <c r="A30" s="7"/>
      <c r="B30" s="5" t="s">
        <v>4</v>
      </c>
      <c r="C30" s="25">
        <v>0.33</v>
      </c>
      <c r="D30" s="26">
        <v>2.3</v>
      </c>
      <c r="E30" s="9"/>
    </row>
    <row r="31" spans="1:5" ht="18">
      <c r="A31" s="7"/>
      <c r="B31" s="5" t="s">
        <v>63</v>
      </c>
      <c r="C31" s="35">
        <v>1.6</v>
      </c>
      <c r="D31" s="26"/>
      <c r="E31" s="9" t="s">
        <v>81</v>
      </c>
    </row>
    <row r="32" spans="1:5" ht="18">
      <c r="A32" s="7"/>
      <c r="B32" s="5" t="s">
        <v>7</v>
      </c>
      <c r="C32" s="25">
        <v>0.23</v>
      </c>
      <c r="D32" s="26">
        <v>1.8</v>
      </c>
      <c r="E32" s="9"/>
    </row>
    <row r="33" spans="1:5" ht="18">
      <c r="A33" s="7"/>
      <c r="B33" s="5" t="s">
        <v>6</v>
      </c>
      <c r="C33" s="25">
        <v>0.22</v>
      </c>
      <c r="D33" s="26">
        <v>1.67</v>
      </c>
      <c r="E33" s="9"/>
    </row>
    <row r="34" spans="1:5" ht="18">
      <c r="A34" s="7"/>
      <c r="B34" s="5" t="s">
        <v>59</v>
      </c>
      <c r="C34" s="25">
        <v>0.025</v>
      </c>
      <c r="D34" s="27"/>
      <c r="E34" s="17" t="s">
        <v>56</v>
      </c>
    </row>
    <row r="35" spans="1:5" ht="18">
      <c r="A35" s="7"/>
      <c r="B35" s="5" t="s">
        <v>3</v>
      </c>
      <c r="C35" s="25">
        <v>0.16</v>
      </c>
      <c r="D35" s="26">
        <v>1.01</v>
      </c>
      <c r="E35" s="9"/>
    </row>
    <row r="36" spans="1:5" ht="18">
      <c r="A36" s="7"/>
      <c r="B36" s="5" t="s">
        <v>8</v>
      </c>
      <c r="C36" s="25">
        <v>0.12</v>
      </c>
      <c r="D36" s="26">
        <v>1.38</v>
      </c>
      <c r="E36" s="9"/>
    </row>
    <row r="37" spans="1:5" ht="18">
      <c r="A37" s="7"/>
      <c r="B37" s="7" t="s">
        <v>49</v>
      </c>
      <c r="C37" s="25">
        <v>2.326</v>
      </c>
      <c r="D37" s="28"/>
      <c r="E37" s="9"/>
    </row>
    <row r="38" spans="1:5" ht="18">
      <c r="A38" s="7"/>
      <c r="B38" s="5" t="s">
        <v>58</v>
      </c>
      <c r="C38" s="29">
        <v>67</v>
      </c>
      <c r="D38" s="30">
        <v>0.45</v>
      </c>
      <c r="E38" s="9"/>
    </row>
    <row r="39" spans="2:5" ht="18">
      <c r="B39" s="7" t="s">
        <v>9</v>
      </c>
      <c r="C39" s="25">
        <v>0.582</v>
      </c>
      <c r="D39" s="26">
        <v>4.2</v>
      </c>
      <c r="E39" s="31"/>
    </row>
    <row r="40" spans="2:5" ht="18">
      <c r="B40" s="5" t="s">
        <v>80</v>
      </c>
      <c r="C40" s="8"/>
      <c r="D40" s="30">
        <v>336</v>
      </c>
      <c r="E40" s="9"/>
    </row>
    <row r="41" ht="18.75" thickBot="1"/>
    <row r="42" spans="1:4" s="55" customFormat="1" ht="27.75" thickBot="1" thickTop="1">
      <c r="A42" s="42" t="s">
        <v>36</v>
      </c>
      <c r="B42" s="43"/>
      <c r="C42" s="43"/>
      <c r="D42" s="44"/>
    </row>
    <row r="43" spans="1:5" ht="18.75" thickTop="1">
      <c r="A43" s="4" t="s">
        <v>37</v>
      </c>
      <c r="B43" s="4"/>
      <c r="C43" s="7" t="s">
        <v>16</v>
      </c>
      <c r="D43" s="10">
        <f>D45/(D10*D11)</f>
        <v>-0.0062603869546803605</v>
      </c>
      <c r="E43" s="4" t="s">
        <v>52</v>
      </c>
    </row>
    <row r="44" spans="1:5" ht="18">
      <c r="A44" s="4" t="s">
        <v>51</v>
      </c>
      <c r="B44" s="4"/>
      <c r="C44" s="7" t="s">
        <v>19</v>
      </c>
      <c r="D44" s="10">
        <f>D23*D43</f>
        <v>-3.13019347734018</v>
      </c>
      <c r="E44" s="4" t="s">
        <v>45</v>
      </c>
    </row>
    <row r="45" spans="1:5" ht="18">
      <c r="A45" s="4" t="s">
        <v>38</v>
      </c>
      <c r="B45" s="4"/>
      <c r="C45" s="7" t="s">
        <v>17</v>
      </c>
      <c r="D45" s="56">
        <f>1/A55*(D5-D6)</f>
        <v>-17.262969345929214</v>
      </c>
      <c r="E45" s="4" t="s">
        <v>46</v>
      </c>
    </row>
    <row r="46" spans="1:5" ht="18">
      <c r="A46" s="4" t="s">
        <v>39</v>
      </c>
      <c r="B46" s="4"/>
      <c r="C46" s="7" t="s">
        <v>18</v>
      </c>
      <c r="D46" s="57">
        <f>D23*D45/1000</f>
        <v>-8.631484672964607</v>
      </c>
      <c r="E46" s="4" t="s">
        <v>0</v>
      </c>
    </row>
    <row r="47" spans="1:5" ht="18">
      <c r="A47" s="4" t="s">
        <v>40</v>
      </c>
      <c r="B47" s="4"/>
      <c r="C47" s="7" t="s">
        <v>1</v>
      </c>
      <c r="D47" s="57">
        <f>1/A55</f>
        <v>1.7262969345929213</v>
      </c>
      <c r="E47" s="4" t="s">
        <v>47</v>
      </c>
    </row>
    <row r="48" ht="18.75" thickBot="1"/>
    <row r="49" spans="1:4" s="55" customFormat="1" ht="27.75" thickBot="1" thickTop="1">
      <c r="A49" s="42" t="s">
        <v>72</v>
      </c>
      <c r="B49" s="43"/>
      <c r="C49" s="43"/>
      <c r="D49" s="44"/>
    </row>
    <row r="50" spans="1:4" ht="18.75" thickTop="1">
      <c r="A50" s="4" t="s">
        <v>73</v>
      </c>
      <c r="B50" s="4"/>
      <c r="C50" s="5" t="s">
        <v>74</v>
      </c>
      <c r="D50" s="39">
        <f>IF(D6&lt;0,A58/3600,"")</f>
      </c>
    </row>
    <row r="51" spans="1:4" ht="18">
      <c r="A51" s="4" t="s">
        <v>76</v>
      </c>
      <c r="B51" s="4"/>
      <c r="C51" s="5" t="s">
        <v>79</v>
      </c>
      <c r="D51" s="39">
        <f>IF(D24&lt;D50,"",(IF(D6&lt;0,A60,"")))</f>
      </c>
    </row>
    <row r="53" spans="3:4" ht="18">
      <c r="C53" s="53"/>
      <c r="D53" s="58"/>
    </row>
    <row r="54" spans="3:4" ht="18">
      <c r="C54" s="53"/>
      <c r="D54" s="58"/>
    </row>
    <row r="55" spans="1:2" ht="18">
      <c r="A55" s="52">
        <f>0.1592*(1/$D$12*LN($D$16/$D$18)+1/$F$13*LN($F$21/$D$16)+1/$F$14*LN($F$19/$F$21)+1/$D$15*LN(4000*$D$22/$F$19))</f>
        <v>0.5792746195403575</v>
      </c>
      <c r="B55" s="59" t="s">
        <v>55</v>
      </c>
    </row>
    <row r="56" spans="1:2" ht="18">
      <c r="A56" s="8"/>
      <c r="B56" s="49"/>
    </row>
    <row r="57" spans="1:2" ht="18">
      <c r="A57" s="50">
        <f>1/(D9*A55*D39*1000)</f>
        <v>0.0012520773909360722</v>
      </c>
      <c r="B57" s="49" t="s">
        <v>71</v>
      </c>
    </row>
    <row r="58" spans="1:2" ht="18">
      <c r="A58" s="8" t="e">
        <f>((LN((D5-D6)/ABS(D6)))/A57)</f>
        <v>#NUM!</v>
      </c>
      <c r="B58" s="49" t="s">
        <v>77</v>
      </c>
    </row>
    <row r="59" spans="1:2" ht="18">
      <c r="A59" s="8">
        <f>ABS(D6/A55)</f>
        <v>43.15742336482303</v>
      </c>
      <c r="B59" s="49" t="s">
        <v>78</v>
      </c>
    </row>
    <row r="60" spans="1:4" ht="18">
      <c r="A60" s="8" t="e">
        <f>A59*(F24-A58)/(D9*D40*1000)*100</f>
        <v>#NUM!</v>
      </c>
      <c r="B60" s="8"/>
      <c r="C60" s="53"/>
      <c r="D60" s="58"/>
    </row>
    <row r="61" spans="3:4" ht="18">
      <c r="C61" s="53"/>
      <c r="D61" s="58"/>
    </row>
    <row r="62" spans="3:4" ht="18">
      <c r="C62" s="53"/>
      <c r="D62" s="58"/>
    </row>
    <row r="63" spans="3:4" ht="18">
      <c r="C63" s="53"/>
      <c r="D63" s="58"/>
    </row>
    <row r="64" spans="3:4" ht="18">
      <c r="C64" s="53"/>
      <c r="D64" s="58"/>
    </row>
    <row r="65" spans="3:4" ht="18">
      <c r="C65" s="53"/>
      <c r="D65" s="58"/>
    </row>
    <row r="70" spans="1:2" ht="18">
      <c r="A70" s="53"/>
      <c r="B70" s="53"/>
    </row>
    <row r="71" spans="1:2" ht="18">
      <c r="A71" s="53"/>
      <c r="B71" s="53"/>
    </row>
    <row r="72" spans="1:2" ht="18">
      <c r="A72" s="53"/>
      <c r="B72" s="53"/>
    </row>
    <row r="73" spans="1:2" ht="18">
      <c r="A73" s="53"/>
      <c r="B73" s="53"/>
    </row>
    <row r="74" spans="1:2" ht="18">
      <c r="A74" s="53"/>
      <c r="B74" s="53"/>
    </row>
    <row r="75" spans="1:2" ht="18">
      <c r="A75" s="53"/>
      <c r="B75" s="53"/>
    </row>
    <row r="76" spans="1:2" ht="18">
      <c r="A76" s="53"/>
      <c r="B76" s="53"/>
    </row>
    <row r="77" spans="1:2" ht="18">
      <c r="A77" s="53"/>
      <c r="B77" s="53"/>
    </row>
    <row r="78" spans="1:2" ht="18">
      <c r="A78" s="53"/>
      <c r="B78" s="53"/>
    </row>
    <row r="79" spans="1:2" ht="18">
      <c r="A79" s="53"/>
      <c r="B79" s="53"/>
    </row>
    <row r="80" spans="1:2" ht="18">
      <c r="A80" s="53"/>
      <c r="B80" s="53"/>
    </row>
    <row r="81" spans="1:2" ht="18">
      <c r="A81" s="53"/>
      <c r="B81" s="53"/>
    </row>
    <row r="82" spans="1:2" ht="18">
      <c r="A82" s="53"/>
      <c r="B82" s="53"/>
    </row>
    <row r="83" spans="1:2" ht="18">
      <c r="A83" s="53"/>
      <c r="B83" s="53"/>
    </row>
  </sheetData>
  <sheetProtection password="CCC9" sheet="1" objects="1" scenarios="1"/>
  <mergeCells count="1">
    <mergeCell ref="A2:C2"/>
  </mergeCells>
  <printOptions/>
  <pageMargins left="0.51" right="0.667" top="0.32" bottom="0.67" header="0.5" footer="0.5"/>
  <pageSetup fitToHeight="1" fitToWidth="1" horizontalDpi="600" verticalDpi="600" orientation="landscape" paperSize="9" scale="58" r:id="rId1"/>
  <headerFooter alignWithMargins="0">
    <oddFooter>&amp;L&amp;"Arial,Vet"&amp;20WAVIN OVERSEAS B.V.&amp;C&amp;D&amp;R&amp;F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Wavin Overseas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Nes</dc:creator>
  <cp:keywords/>
  <dc:description/>
  <cp:lastModifiedBy>Francisco Leonardo Mendoza Escobar</cp:lastModifiedBy>
  <cp:lastPrinted>2002-03-11T15:51:32Z</cp:lastPrinted>
  <dcterms:created xsi:type="dcterms:W3CDTF">1999-09-21T11:19:06Z</dcterms:created>
  <dcterms:modified xsi:type="dcterms:W3CDTF">2012-08-22T14:30:31Z</dcterms:modified>
  <cp:category/>
  <cp:version/>
  <cp:contentType/>
  <cp:contentStatus/>
</cp:coreProperties>
</file>